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66925"/>
  <mc:AlternateContent xmlns:mc="http://schemas.openxmlformats.org/markup-compatibility/2006">
    <mc:Choice Requires="x15">
      <x15ac:absPath xmlns:x15ac="http://schemas.microsoft.com/office/spreadsheetml/2010/11/ac" url="C:\Users\danie\Dropbox\EVP SHARED\EVP Internal\Personal\Daniel\Articles\"/>
    </mc:Choice>
  </mc:AlternateContent>
  <xr:revisionPtr revIDLastSave="0" documentId="8_{DE826F23-C2C4-45C7-BC57-8B2F88FCC96A}" xr6:coauthVersionLast="47" xr6:coauthVersionMax="47" xr10:uidLastSave="{00000000-0000-0000-0000-000000000000}"/>
  <bookViews>
    <workbookView xWindow="28665" yWindow="-3810" windowWidth="29070" windowHeight="15750" tabRatio="601" activeTab="1" xr2:uid="{00000000-000D-0000-FFFF-FFFF00000000}"/>
  </bookViews>
  <sheets>
    <sheet name="Instructions" sheetId="4" r:id="rId1"/>
    <sheet name="Cap Table" sheetId="3" r:id="rId2"/>
  </sheets>
  <definedNames>
    <definedName name="_xlnm._FilterDatabase" localSheetId="1" hidden="1">'Cap Table'!$E$34:$H$34</definedName>
  </definedNames>
  <calcPr calcId="191029" iterate="1" iterateCount="20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9" i="3" l="1"/>
  <c r="N41" i="3"/>
  <c r="O41" i="3"/>
  <c r="P41" i="3"/>
  <c r="N43" i="3"/>
  <c r="P43" i="3"/>
  <c r="N44" i="3"/>
  <c r="P44" i="3"/>
  <c r="C25" i="3" l="1"/>
  <c r="J44" i="3" s="1"/>
  <c r="N36" i="3"/>
  <c r="O36" i="3"/>
  <c r="P36" i="3"/>
  <c r="N37" i="3"/>
  <c r="P37" i="3"/>
  <c r="N38" i="3"/>
  <c r="O38" i="3"/>
  <c r="P38" i="3"/>
  <c r="N39" i="3"/>
  <c r="O39" i="3"/>
  <c r="P39" i="3"/>
  <c r="N40" i="3"/>
  <c r="O40" i="3"/>
  <c r="P40" i="3"/>
  <c r="N46" i="3"/>
  <c r="O46" i="3"/>
  <c r="C56" i="3"/>
  <c r="C69" i="3"/>
  <c r="C82" i="3"/>
  <c r="C83" i="3"/>
  <c r="C85" i="3" s="1"/>
  <c r="C24" i="3" l="1"/>
  <c r="C26" i="3" l="1"/>
  <c r="J43" i="3"/>
  <c r="C70" i="3"/>
  <c r="C72" i="3" s="1"/>
  <c r="C57" i="3"/>
  <c r="N48" i="3" l="1"/>
  <c r="E48" i="3" l="1"/>
  <c r="G48" i="3"/>
  <c r="C11" i="3" l="1"/>
  <c r="F48" i="3"/>
  <c r="H41" i="3" s="1"/>
  <c r="K48" i="3"/>
  <c r="H46" i="3" l="1"/>
  <c r="H44" i="3"/>
  <c r="H43" i="3"/>
  <c r="H40" i="3"/>
  <c r="H36" i="3"/>
  <c r="H39" i="3"/>
  <c r="H38" i="3"/>
  <c r="H37" i="3"/>
  <c r="H48" i="3" l="1"/>
  <c r="J48" i="3" l="1"/>
  <c r="O37" i="3" l="1"/>
  <c r="C13" i="3"/>
  <c r="C16" i="3"/>
  <c r="C18" i="3"/>
  <c r="C28" i="3"/>
  <c r="C29" i="3"/>
  <c r="C30" i="3"/>
  <c r="R36" i="3"/>
  <c r="R37" i="3"/>
  <c r="Q38" i="3"/>
  <c r="R38" i="3"/>
  <c r="Q39" i="3"/>
  <c r="R39" i="3"/>
  <c r="Q40" i="3"/>
  <c r="R40" i="3"/>
  <c r="R41" i="3"/>
  <c r="L43" i="3"/>
  <c r="O43" i="3"/>
  <c r="R43" i="3"/>
  <c r="L44" i="3"/>
  <c r="O44" i="3"/>
  <c r="R44" i="3"/>
  <c r="P46" i="3"/>
  <c r="R46" i="3"/>
  <c r="L48" i="3"/>
  <c r="O48" i="3"/>
  <c r="P48" i="3"/>
  <c r="Q48" i="3"/>
  <c r="R48" i="3"/>
  <c r="C58" i="3"/>
  <c r="C60" i="3"/>
  <c r="C62" i="3"/>
  <c r="C63" i="3"/>
  <c r="C64" i="3"/>
  <c r="C71" i="3"/>
  <c r="C73" i="3"/>
  <c r="C75" i="3"/>
  <c r="C76" i="3"/>
  <c r="C77" i="3"/>
  <c r="C84" i="3"/>
  <c r="C86" i="3"/>
  <c r="C88" i="3"/>
  <c r="C89" i="3"/>
  <c r="C90" i="3"/>
</calcChain>
</file>

<file path=xl/sharedStrings.xml><?xml version="1.0" encoding="utf-8"?>
<sst xmlns="http://schemas.openxmlformats.org/spreadsheetml/2006/main" count="127" uniqueCount="87">
  <si>
    <t>Investors</t>
  </si>
  <si>
    <t>Total  
Ordinary  
Shares</t>
  </si>
  <si>
    <t>Total 
Options</t>
  </si>
  <si>
    <t>% 
Fully Diluted</t>
  </si>
  <si>
    <t>Investment Amount</t>
  </si>
  <si>
    <t>Existings</t>
  </si>
  <si>
    <t>Total Pref Shares</t>
  </si>
  <si>
    <t>Cap Table post Investment</t>
  </si>
  <si>
    <t>Options</t>
  </si>
  <si>
    <t>Target Option Pool</t>
  </si>
  <si>
    <t>Post-Money Shares</t>
  </si>
  <si>
    <t>Share Price</t>
  </si>
  <si>
    <t>Post-Money Option Pool</t>
  </si>
  <si>
    <t>Assumptions and Calculations</t>
  </si>
  <si>
    <t>Total New Shares</t>
  </si>
  <si>
    <t>Employee Share Option Pool (unissued)</t>
  </si>
  <si>
    <t>Latest Investment</t>
  </si>
  <si>
    <t>B</t>
  </si>
  <si>
    <t>CP2</t>
  </si>
  <si>
    <t>Prior Round Price</t>
  </si>
  <si>
    <t>Round 1</t>
  </si>
  <si>
    <t>All shares and options Before Down Round</t>
  </si>
  <si>
    <t>Number of Shares Issued in Down Round</t>
  </si>
  <si>
    <t>C</t>
  </si>
  <si>
    <t>A</t>
  </si>
  <si>
    <t>CP1</t>
  </si>
  <si>
    <t>Conversion Price After</t>
  </si>
  <si>
    <t>Number of Shares we should Have</t>
  </si>
  <si>
    <t>Top-Up Shares</t>
  </si>
  <si>
    <t>Existing Shareholder</t>
  </si>
  <si>
    <t>Anti-Dilution 'Top-Up' Shares</t>
  </si>
  <si>
    <t>Total</t>
  </si>
  <si>
    <t>Total Investment Amount</t>
  </si>
  <si>
    <t>Total Capital Raise</t>
  </si>
  <si>
    <t>Pre-Money Valuation</t>
  </si>
  <si>
    <t>Post-Money Valuation</t>
  </si>
  <si>
    <t>Founder 1</t>
  </si>
  <si>
    <t>Founder 2</t>
  </si>
  <si>
    <t>Ordinary Shares</t>
  </si>
  <si>
    <t>Allocated ESOP</t>
  </si>
  <si>
    <t>Preference Shares</t>
  </si>
  <si>
    <t>Existing Shareholder 1</t>
  </si>
  <si>
    <t>Existing Shareholder 2</t>
  </si>
  <si>
    <t>Existing Shareholder 3</t>
  </si>
  <si>
    <t>New Shareholder 1</t>
  </si>
  <si>
    <t>New Shareholder 2</t>
  </si>
  <si>
    <t>New Investor 1 Investment Amount</t>
  </si>
  <si>
    <t>New Investor 2 Investment Amount</t>
  </si>
  <si>
    <t>New Investor 1 New Shares</t>
  </si>
  <si>
    <t>New Investor 2 New Shares</t>
  </si>
  <si>
    <t>Existing Investor 1</t>
  </si>
  <si>
    <t>Existing Investor 2</t>
  </si>
  <si>
    <t>Existing Investor 3</t>
  </si>
  <si>
    <t>Shares Issued to Existing Investor 1 in prior round</t>
  </si>
  <si>
    <t>New Preference Shares Issued</t>
  </si>
  <si>
    <t>New Ordinary Shares Issued</t>
  </si>
  <si>
    <t>Cap Table Template - Anti-Dilution</t>
  </si>
  <si>
    <t>Anti-Dilution Cap Table Template</t>
  </si>
  <si>
    <t>How to Use:</t>
  </si>
  <si>
    <t>1. Make sure your Excel is set to allow for "iterative calculations" - File &gt; Options &gt; Formulas &gt; Enable Iterative Calculations</t>
  </si>
  <si>
    <t>2. Update the Blue cells only (the rest will calculate)</t>
  </si>
  <si>
    <t>Anti-Dilution Calculation</t>
  </si>
  <si>
    <t>&lt;-- Include new Unissued ESOP % post-transaction</t>
  </si>
  <si>
    <t>&lt;-- Include total amount being raised by your business</t>
  </si>
  <si>
    <t>&lt;-- Include pre-money valuation set by incoming investor</t>
  </si>
  <si>
    <t>&lt;--- Post-Money Shares = (Pre-Money Shares - Unissued ESOP before transaction + Anti-Dilution Shares Issued)/(1-Equity % - Noteholder % - Option Pool %)</t>
  </si>
  <si>
    <t>&lt;-- Include % of the round being taken by each investor</t>
  </si>
  <si>
    <t>% Round to New Investor 1</t>
  </si>
  <si>
    <t>% Round to New Investor 2</t>
  </si>
  <si>
    <t>THIS IS A CIRCULAR CALCULATION BECAUSE WE NEED TO CONSIDER HOW MANY ANTI-DILUTION SHARES ARE ISSUED BEFORE WE CAN KNOW THE FINAL SHARE PRICE OF THE NEW ROUND.</t>
  </si>
  <si>
    <t>&lt;-- Include $ Amount invested at last round'</t>
  </si>
  <si>
    <t>&lt;-- Include share price of last round (THIS SHOULD BE DOCUMENTED IN YOUR SUBSCRIPTION AGREEMENT)</t>
  </si>
  <si>
    <t>3. Include the price per share of your previous rounds in cells C55, C68 and C81 of the Cap Table tab</t>
  </si>
  <si>
    <t>Total Down-Round Amount Raised</t>
  </si>
  <si>
    <t>Number of Shares that would have been issued in this round if price was the same as prior round</t>
  </si>
  <si>
    <t>&lt;-- Disregarded if a negative number (not a down round)</t>
  </si>
  <si>
    <t>Translating the Legals</t>
  </si>
  <si>
    <t>1. Weighted average anti-dilution typically takes 2 forms: broad based and narrow based</t>
  </si>
  <si>
    <t>Where</t>
  </si>
  <si>
    <t>2. The method used here is broad based which is marginally better for founders, softening the impact of anti-dilution slightly</t>
  </si>
  <si>
    <r>
      <t>A</t>
    </r>
    <r>
      <rPr>
        <sz val="10"/>
        <color theme="1"/>
        <rFont val="Arial"/>
        <family val="2"/>
      </rPr>
      <t xml:space="preserve"> is the number of shares and options on issue</t>
    </r>
  </si>
  <si>
    <r>
      <t>B</t>
    </r>
    <r>
      <rPr>
        <sz val="10"/>
        <color theme="1"/>
        <rFont val="Arial"/>
        <family val="2"/>
      </rPr>
      <t xml:space="preserve"> is the umber of shares that would have been issued in this round if the price was the same as prior, higher price round (determined by dividing the investment amount by CP1)</t>
    </r>
  </si>
  <si>
    <t>3. Anti-dilution rights attach to shares themselves and are usually found in your constitution. They operate to convert preference shares to ordinary shares before an exit. At that time, you effective multiply the amount invested by the new 'share price' to determine how many shares the investor receives in total.</t>
  </si>
  <si>
    <r>
      <rPr>
        <b/>
        <sz val="11"/>
        <color theme="1"/>
        <rFont val="Calibri"/>
        <family val="2"/>
        <scheme val="minor"/>
      </rPr>
      <t>CP2</t>
    </r>
    <r>
      <rPr>
        <sz val="10"/>
        <color theme="1"/>
        <rFont val="Arial"/>
        <family val="2"/>
      </rPr>
      <t xml:space="preserve"> is the new price per share (after anti-dilution is triggered)</t>
    </r>
  </si>
  <si>
    <r>
      <rPr>
        <b/>
        <sz val="11"/>
        <color theme="1"/>
        <rFont val="Calibri"/>
        <family val="2"/>
        <scheme val="minor"/>
      </rPr>
      <t>CP1</t>
    </r>
    <r>
      <rPr>
        <sz val="10"/>
        <color theme="1"/>
        <rFont val="Arial"/>
        <family val="2"/>
      </rPr>
      <t xml:space="preserve"> is the original price per share (before the down round)</t>
    </r>
  </si>
  <si>
    <t>5. The formula used in the attached is the following: CP2 = CP1 x (A + B) ÷ (A + C)</t>
  </si>
  <si>
    <t>4. The impact of applying the formula below after a down round is that CP2 is lower than CP1, reducing the price per share and increasing the number of shares received after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</si>
</sst>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C09]#,##0"/>
    <numFmt numFmtId="166"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FF"/>
      <name val="Calibri"/>
      <family val="2"/>
      <scheme val="minor"/>
    </font>
    <font>
      <b/>
      <sz val="18"/>
      <color theme="1"/>
      <name val="Calibri"/>
      <family val="2"/>
      <scheme val="minor"/>
    </font>
    <font>
      <u/>
      <sz val="11"/>
      <color theme="10"/>
      <name val="Calibri"/>
      <family val="2"/>
      <scheme val="minor"/>
    </font>
    <font>
      <u/>
      <sz val="11"/>
      <color theme="11"/>
      <name val="Calibri"/>
      <family val="2"/>
      <scheme val="minor"/>
    </font>
    <font>
      <i/>
      <sz val="11"/>
      <color rgb="FF00B050"/>
      <name val="Calibri"/>
      <family val="2"/>
      <scheme val="minor"/>
    </font>
    <font>
      <sz val="11"/>
      <color theme="0"/>
      <name val="Calibri"/>
      <family val="2"/>
      <scheme val="minor"/>
    </font>
    <font>
      <sz val="11"/>
      <name val="Calibri"/>
      <family val="2"/>
      <scheme val="minor"/>
    </font>
    <font>
      <b/>
      <i/>
      <sz val="11"/>
      <color theme="1"/>
      <name val="Calibri"/>
      <family val="2"/>
      <scheme val="minor"/>
    </font>
    <font>
      <b/>
      <u/>
      <sz val="18"/>
      <color theme="1"/>
      <name val="Calibri"/>
      <family val="2"/>
      <scheme val="minor"/>
    </font>
    <font>
      <b/>
      <sz val="10"/>
      <color theme="1"/>
      <name val="Arial"/>
      <family val="2"/>
    </font>
    <font>
      <sz val="10"/>
      <color theme="1"/>
      <name val="Arial"/>
      <family val="2"/>
    </font>
  </fonts>
  <fills count="6">
    <fill>
      <patternFill patternType="none"/>
    </fill>
    <fill>
      <patternFill patternType="gray125"/>
    </fill>
    <fill>
      <patternFill patternType="solid">
        <fgColor theme="4" tint="0.79998168889431442"/>
        <bgColor indexed="65"/>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right/>
      <top style="thin">
        <color auto="1"/>
      </top>
      <bottom/>
      <diagonal/>
    </border>
    <border>
      <left/>
      <right/>
      <top/>
      <bottom style="thin">
        <color auto="1"/>
      </bottom>
      <diagonal/>
    </border>
    <border>
      <left/>
      <right/>
      <top style="thin">
        <color auto="1"/>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cellStyleXfs>
  <cellXfs count="41">
    <xf numFmtId="0" fontId="0" fillId="0" borderId="0" xfId="0"/>
    <xf numFmtId="0" fontId="2" fillId="0" borderId="0" xfId="0" applyFont="1"/>
    <xf numFmtId="0" fontId="3" fillId="0" borderId="0" xfId="0" applyFont="1"/>
    <xf numFmtId="10" fontId="0" fillId="0" borderId="0" xfId="2" applyNumberFormat="1" applyFont="1"/>
    <xf numFmtId="164" fontId="0" fillId="0" borderId="0" xfId="1" applyNumberFormat="1" applyFont="1"/>
    <xf numFmtId="164" fontId="2" fillId="0" borderId="1" xfId="2" applyNumberFormat="1" applyFont="1" applyBorder="1"/>
    <xf numFmtId="0" fontId="0" fillId="0" borderId="0" xfId="0" applyAlignment="1">
      <alignment horizontal="center"/>
    </xf>
    <xf numFmtId="165" fontId="0" fillId="0" borderId="0" xfId="0" applyNumberFormat="1"/>
    <xf numFmtId="165" fontId="2" fillId="0" borderId="1" xfId="2" applyNumberFormat="1" applyFont="1" applyBorder="1"/>
    <xf numFmtId="164" fontId="0" fillId="0" borderId="0" xfId="0" applyNumberFormat="1"/>
    <xf numFmtId="0" fontId="5" fillId="0" borderId="2" xfId="0" applyFont="1" applyBorder="1"/>
    <xf numFmtId="0" fontId="0" fillId="0" borderId="2" xfId="0" applyBorder="1"/>
    <xf numFmtId="10" fontId="0" fillId="0" borderId="0" xfId="0" applyNumberFormat="1"/>
    <xf numFmtId="10" fontId="2" fillId="0" borderId="1" xfId="2" applyNumberFormat="1" applyFont="1" applyBorder="1"/>
    <xf numFmtId="0" fontId="8" fillId="0" borderId="0" xfId="0" applyFont="1"/>
    <xf numFmtId="43" fontId="0" fillId="0" borderId="0" xfId="0" applyNumberFormat="1"/>
    <xf numFmtId="0" fontId="5" fillId="0" borderId="3" xfId="0" applyFont="1" applyBorder="1"/>
    <xf numFmtId="0" fontId="0" fillId="0" borderId="3" xfId="0" applyBorder="1"/>
    <xf numFmtId="166" fontId="0" fillId="0" borderId="0" xfId="0" applyNumberFormat="1"/>
    <xf numFmtId="0" fontId="9" fillId="3" borderId="0" xfId="0" applyFont="1" applyFill="1"/>
    <xf numFmtId="44" fontId="0" fillId="0" borderId="0" xfId="8" applyFont="1"/>
    <xf numFmtId="164" fontId="10" fillId="0" borderId="0" xfId="1" applyNumberFormat="1" applyFont="1" applyFill="1"/>
    <xf numFmtId="9" fontId="2" fillId="0" borderId="0" xfId="0" applyNumberFormat="1" applyFont="1"/>
    <xf numFmtId="164" fontId="2" fillId="0" borderId="0" xfId="0" applyNumberFormat="1" applyFont="1"/>
    <xf numFmtId="166" fontId="0" fillId="0" borderId="0" xfId="2" applyNumberFormat="1" applyFont="1"/>
    <xf numFmtId="0" fontId="0" fillId="0" borderId="0" xfId="0" applyAlignment="1">
      <alignment horizontal="center" vertical="center" wrapText="1"/>
    </xf>
    <xf numFmtId="0" fontId="2" fillId="0" borderId="0" xfId="0" applyFont="1" applyAlignment="1">
      <alignment horizontal="center" vertical="center" wrapText="1"/>
    </xf>
    <xf numFmtId="166" fontId="2" fillId="0" borderId="0" xfId="2" applyNumberFormat="1" applyFont="1"/>
    <xf numFmtId="0" fontId="4" fillId="4" borderId="0" xfId="0" applyFont="1" applyFill="1"/>
    <xf numFmtId="164" fontId="4" fillId="4" borderId="0" xfId="1" applyNumberFormat="1" applyFont="1" applyFill="1"/>
    <xf numFmtId="164" fontId="4" fillId="4" borderId="0" xfId="0" applyNumberFormat="1" applyFont="1" applyFill="1"/>
    <xf numFmtId="166" fontId="4" fillId="4" borderId="0" xfId="2" applyNumberFormat="1" applyFont="1" applyFill="1"/>
    <xf numFmtId="43" fontId="4" fillId="4" borderId="0" xfId="1" applyFont="1" applyFill="1"/>
    <xf numFmtId="0" fontId="0" fillId="0" borderId="0" xfId="0" applyAlignment="1">
      <alignment vertical="center" wrapText="1"/>
    </xf>
    <xf numFmtId="0" fontId="2" fillId="0" borderId="0" xfId="0" applyFont="1" applyAlignment="1">
      <alignment vertical="center" wrapText="1"/>
    </xf>
    <xf numFmtId="0" fontId="11" fillId="0" borderId="0" xfId="0" applyFont="1"/>
    <xf numFmtId="0" fontId="12" fillId="0" borderId="0" xfId="0" applyFont="1"/>
    <xf numFmtId="0" fontId="2" fillId="2" borderId="0" xfId="3" applyFont="1" applyAlignment="1">
      <alignment horizontal="center"/>
    </xf>
    <xf numFmtId="164" fontId="0" fillId="5" borderId="0" xfId="0" applyNumberFormat="1" applyFill="1"/>
    <xf numFmtId="0" fontId="13" fillId="0" borderId="0" xfId="0" applyFont="1"/>
    <xf numFmtId="0" fontId="14" fillId="0" borderId="0" xfId="0" applyFont="1"/>
  </cellXfs>
  <cellStyles count="9">
    <cellStyle name="20% - Accent1" xfId="3" builtinId="30"/>
    <cellStyle name="Comma" xfId="1" builtinId="3"/>
    <cellStyle name="Currency" xfId="8" builtinId="4"/>
    <cellStyle name="Followed Hyperlink" xfId="5" builtinId="9" hidden="1"/>
    <cellStyle name="Followed Hyperlink" xfId="7" builtinId="9" hidden="1"/>
    <cellStyle name="Hyperlink" xfId="4" builtinId="8" hidden="1"/>
    <cellStyle name="Hyperlink" xfId="6" builtinId="8" hidden="1"/>
    <cellStyle name="Normal" xfId="0" builtinId="0"/>
    <cellStyle name="Percent" xfId="2" builtinId="5"/>
  </cellStyles>
  <dxfs count="0"/>
  <tableStyles count="0" defaultTableStyle="TableStyleMedium2" defaultPivotStyle="PivotStyleLight16"/>
  <colors>
    <mruColors>
      <color rgb="FF0000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FB2E-4C69-43FA-B877-A3DAA33AB35C}">
  <dimension ref="B4:B26"/>
  <sheetViews>
    <sheetView showGridLines="0" workbookViewId="0">
      <selection activeCell="J31" sqref="J31"/>
    </sheetView>
  </sheetViews>
  <sheetFormatPr defaultRowHeight="14.4" x14ac:dyDescent="0.3"/>
  <sheetData>
    <row r="4" spans="2:2" ht="23.4" x14ac:dyDescent="0.45">
      <c r="B4" s="36" t="s">
        <v>57</v>
      </c>
    </row>
    <row r="6" spans="2:2" x14ac:dyDescent="0.3">
      <c r="B6" s="35" t="s">
        <v>58</v>
      </c>
    </row>
    <row r="7" spans="2:2" x14ac:dyDescent="0.3">
      <c r="B7" t="s">
        <v>59</v>
      </c>
    </row>
    <row r="8" spans="2:2" x14ac:dyDescent="0.3">
      <c r="B8" t="s">
        <v>60</v>
      </c>
    </row>
    <row r="9" spans="2:2" x14ac:dyDescent="0.3">
      <c r="B9" t="s">
        <v>72</v>
      </c>
    </row>
    <row r="11" spans="2:2" x14ac:dyDescent="0.3">
      <c r="B11" s="35" t="s">
        <v>76</v>
      </c>
    </row>
    <row r="12" spans="2:2" x14ac:dyDescent="0.3">
      <c r="B12" t="s">
        <v>77</v>
      </c>
    </row>
    <row r="13" spans="2:2" x14ac:dyDescent="0.3">
      <c r="B13" t="s">
        <v>79</v>
      </c>
    </row>
    <row r="14" spans="2:2" x14ac:dyDescent="0.3">
      <c r="B14" t="s">
        <v>82</v>
      </c>
    </row>
    <row r="15" spans="2:2" x14ac:dyDescent="0.3">
      <c r="B15" t="s">
        <v>86</v>
      </c>
    </row>
    <row r="16" spans="2:2" x14ac:dyDescent="0.3">
      <c r="B16" t="s">
        <v>85</v>
      </c>
    </row>
    <row r="18" spans="2:2" x14ac:dyDescent="0.3">
      <c r="B18" t="s">
        <v>78</v>
      </c>
    </row>
    <row r="20" spans="2:2" x14ac:dyDescent="0.3">
      <c r="B20" t="s">
        <v>83</v>
      </c>
    </row>
    <row r="22" spans="2:2" x14ac:dyDescent="0.3">
      <c r="B22" s="40" t="s">
        <v>84</v>
      </c>
    </row>
    <row r="24" spans="2:2" x14ac:dyDescent="0.3">
      <c r="B24" s="39" t="s">
        <v>80</v>
      </c>
    </row>
    <row r="26" spans="2:2" x14ac:dyDescent="0.3">
      <c r="B26" s="39" t="s">
        <v>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90"/>
  <sheetViews>
    <sheetView showGridLines="0" tabSelected="1" topLeftCell="A34" zoomScale="85" zoomScaleNormal="85" zoomScalePageLayoutView="80" workbookViewId="0">
      <selection activeCell="B59" sqref="B59"/>
    </sheetView>
  </sheetViews>
  <sheetFormatPr defaultColWidth="8.6640625" defaultRowHeight="14.4" x14ac:dyDescent="0.3"/>
  <cols>
    <col min="1" max="1" width="4.44140625" customWidth="1"/>
    <col min="2" max="2" width="39.21875" customWidth="1"/>
    <col min="3" max="3" width="26" customWidth="1"/>
    <col min="4" max="4" width="3.6640625" customWidth="1"/>
    <col min="5" max="8" width="16.77734375" customWidth="1"/>
    <col min="9" max="9" width="5.109375" customWidth="1"/>
    <col min="10" max="10" width="14.5546875" bestFit="1" customWidth="1"/>
    <col min="11" max="12" width="21.5546875" customWidth="1"/>
    <col min="13" max="13" width="5.21875" customWidth="1"/>
    <col min="14" max="18" width="26.109375" customWidth="1"/>
    <col min="19" max="19" width="7.88671875" customWidth="1"/>
    <col min="20" max="20" width="22.44140625" customWidth="1"/>
    <col min="21" max="21" width="20.88671875" customWidth="1"/>
    <col min="22" max="22" width="9.109375" bestFit="1" customWidth="1"/>
  </cols>
  <sheetData>
    <row r="2" spans="2:19" ht="23.4" x14ac:dyDescent="0.45">
      <c r="B2" s="10" t="s">
        <v>56</v>
      </c>
      <c r="C2" s="11"/>
      <c r="D2" s="11"/>
      <c r="E2" s="11"/>
      <c r="F2" s="11"/>
      <c r="G2" s="11"/>
      <c r="H2" s="11"/>
      <c r="I2" s="11"/>
      <c r="J2" s="11"/>
      <c r="K2" s="11"/>
      <c r="L2" s="11"/>
      <c r="M2" s="11"/>
      <c r="N2" s="11"/>
      <c r="O2" s="11"/>
      <c r="P2" s="11"/>
      <c r="Q2" s="11"/>
      <c r="R2" s="11"/>
      <c r="S2" s="11"/>
    </row>
    <row r="3" spans="2:19" ht="5.25" customHeight="1" x14ac:dyDescent="0.45">
      <c r="B3" s="16"/>
      <c r="C3" s="17"/>
      <c r="D3" s="17"/>
      <c r="E3" s="17"/>
      <c r="F3" s="17"/>
      <c r="G3" s="17"/>
      <c r="H3" s="17"/>
      <c r="I3" s="17"/>
      <c r="J3" s="17"/>
      <c r="K3" s="17"/>
      <c r="L3" s="17"/>
      <c r="M3" s="17"/>
      <c r="N3" s="17"/>
      <c r="O3" s="17"/>
      <c r="P3" s="17"/>
      <c r="Q3" s="17"/>
      <c r="R3" s="17"/>
      <c r="S3" s="17"/>
    </row>
    <row r="5" spans="2:19" x14ac:dyDescent="0.3">
      <c r="B5" s="1" t="s">
        <v>13</v>
      </c>
    </row>
    <row r="7" spans="2:19" x14ac:dyDescent="0.3">
      <c r="B7" t="s">
        <v>9</v>
      </c>
      <c r="C7" s="31">
        <v>0.05</v>
      </c>
      <c r="D7" s="14" t="s">
        <v>62</v>
      </c>
    </row>
    <row r="9" spans="2:19" x14ac:dyDescent="0.3">
      <c r="B9" t="s">
        <v>33</v>
      </c>
      <c r="C9" s="29">
        <v>3000000</v>
      </c>
      <c r="D9" s="14" t="s">
        <v>63</v>
      </c>
    </row>
    <row r="10" spans="2:19" x14ac:dyDescent="0.3">
      <c r="B10" t="s">
        <v>34</v>
      </c>
      <c r="C10" s="29">
        <v>20000000</v>
      </c>
      <c r="D10" s="14" t="s">
        <v>64</v>
      </c>
      <c r="E10" s="15"/>
    </row>
    <row r="11" spans="2:19" x14ac:dyDescent="0.3">
      <c r="B11" t="s">
        <v>35</v>
      </c>
      <c r="C11" s="9">
        <f>SUM(C9:C10)</f>
        <v>23000000</v>
      </c>
    </row>
    <row r="13" spans="2:19" x14ac:dyDescent="0.3">
      <c r="B13" t="s">
        <v>10</v>
      </c>
      <c r="C13" s="9">
        <f ca="1">((SUM(E48:G48)+Q48)-G46)/((1-C7)-C9/C11)</f>
        <v>3233421.7506631301</v>
      </c>
      <c r="D13" s="14" t="s">
        <v>65</v>
      </c>
    </row>
    <row r="14" spans="2:19" x14ac:dyDescent="0.3">
      <c r="C14" s="9"/>
      <c r="D14" t="s">
        <v>69</v>
      </c>
    </row>
    <row r="15" spans="2:19" x14ac:dyDescent="0.3">
      <c r="C15" s="9"/>
    </row>
    <row r="16" spans="2:19" x14ac:dyDescent="0.3">
      <c r="B16" t="s">
        <v>11</v>
      </c>
      <c r="C16" s="20">
        <f ca="1">C11/C13</f>
        <v>7.1132075471698109</v>
      </c>
      <c r="E16" s="4"/>
    </row>
    <row r="18" spans="2:18" x14ac:dyDescent="0.3">
      <c r="B18" t="s">
        <v>12</v>
      </c>
      <c r="C18" s="9">
        <f ca="1">C7*C13</f>
        <v>161671.0875331565</v>
      </c>
    </row>
    <row r="19" spans="2:18" x14ac:dyDescent="0.3">
      <c r="C19" s="9"/>
    </row>
    <row r="20" spans="2:18" x14ac:dyDescent="0.3">
      <c r="B20" t="s">
        <v>67</v>
      </c>
      <c r="C20" s="31">
        <v>0.6</v>
      </c>
      <c r="D20" s="14" t="s">
        <v>66</v>
      </c>
    </row>
    <row r="21" spans="2:18" x14ac:dyDescent="0.3">
      <c r="B21" t="s">
        <v>68</v>
      </c>
      <c r="C21" s="31">
        <v>0.4</v>
      </c>
      <c r="D21" s="14"/>
      <c r="E21" s="15"/>
    </row>
    <row r="22" spans="2:18" x14ac:dyDescent="0.3">
      <c r="B22" s="1" t="s">
        <v>31</v>
      </c>
      <c r="C22" s="22">
        <v>1</v>
      </c>
    </row>
    <row r="24" spans="2:18" x14ac:dyDescent="0.3">
      <c r="B24" t="s">
        <v>46</v>
      </c>
      <c r="C24" s="9">
        <f>C20*$C$9</f>
        <v>1800000</v>
      </c>
    </row>
    <row r="25" spans="2:18" x14ac:dyDescent="0.3">
      <c r="B25" t="s">
        <v>47</v>
      </c>
      <c r="C25" s="9">
        <f>C21*$C$9</f>
        <v>1200000</v>
      </c>
    </row>
    <row r="26" spans="2:18" x14ac:dyDescent="0.3">
      <c r="B26" s="1" t="s">
        <v>32</v>
      </c>
      <c r="C26" s="23">
        <f>SUM(C24:C25)</f>
        <v>3000000</v>
      </c>
    </row>
    <row r="28" spans="2:18" x14ac:dyDescent="0.3">
      <c r="B28" t="s">
        <v>48</v>
      </c>
      <c r="C28" s="4">
        <f ca="1">ROUNDDOWN(C24/$C$16,0)</f>
        <v>253050</v>
      </c>
    </row>
    <row r="29" spans="2:18" x14ac:dyDescent="0.3">
      <c r="B29" t="s">
        <v>49</v>
      </c>
      <c r="C29" s="4">
        <f ca="1">ROUNDDOWN(C25/$C$16,0)</f>
        <v>168700</v>
      </c>
    </row>
    <row r="30" spans="2:18" x14ac:dyDescent="0.3">
      <c r="B30" s="1" t="s">
        <v>14</v>
      </c>
      <c r="C30" s="23">
        <f ca="1">SUM(C28:C29)</f>
        <v>421750</v>
      </c>
    </row>
    <row r="31" spans="2:18" x14ac:dyDescent="0.3">
      <c r="C31" s="9"/>
    </row>
    <row r="32" spans="2:18" x14ac:dyDescent="0.3">
      <c r="E32" s="37" t="s">
        <v>5</v>
      </c>
      <c r="F32" s="37"/>
      <c r="G32" s="37"/>
      <c r="H32" s="37"/>
      <c r="J32" s="37" t="s">
        <v>16</v>
      </c>
      <c r="K32" s="37"/>
      <c r="L32" s="37"/>
      <c r="N32" s="37" t="s">
        <v>7</v>
      </c>
      <c r="O32" s="37"/>
      <c r="P32" s="37"/>
      <c r="Q32" s="37"/>
      <c r="R32" s="37"/>
    </row>
    <row r="33" spans="2:22" x14ac:dyDescent="0.3">
      <c r="E33" s="6"/>
      <c r="F33" s="6"/>
      <c r="G33" s="6"/>
      <c r="H33" s="6"/>
    </row>
    <row r="34" spans="2:22" ht="43.2" x14ac:dyDescent="0.3">
      <c r="B34" s="1" t="s">
        <v>0</v>
      </c>
      <c r="C34" s="1"/>
      <c r="D34" s="1"/>
      <c r="E34" s="26" t="s">
        <v>38</v>
      </c>
      <c r="F34" s="26" t="s">
        <v>40</v>
      </c>
      <c r="G34" s="26" t="s">
        <v>8</v>
      </c>
      <c r="H34" s="26" t="s">
        <v>3</v>
      </c>
      <c r="I34" s="25"/>
      <c r="J34" s="26" t="s">
        <v>4</v>
      </c>
      <c r="K34" s="26" t="s">
        <v>55</v>
      </c>
      <c r="L34" s="26" t="s">
        <v>54</v>
      </c>
      <c r="M34" s="25"/>
      <c r="N34" s="26" t="s">
        <v>1</v>
      </c>
      <c r="O34" s="26" t="s">
        <v>6</v>
      </c>
      <c r="P34" s="26" t="s">
        <v>2</v>
      </c>
      <c r="Q34" s="26" t="s">
        <v>30</v>
      </c>
      <c r="R34" s="26" t="s">
        <v>3</v>
      </c>
      <c r="T34" s="1"/>
    </row>
    <row r="35" spans="2:22" x14ac:dyDescent="0.3">
      <c r="B35" s="2" t="s">
        <v>29</v>
      </c>
      <c r="C35" s="2"/>
      <c r="D35" s="2"/>
    </row>
    <row r="36" spans="2:22" x14ac:dyDescent="0.3">
      <c r="B36" s="28" t="s">
        <v>36</v>
      </c>
      <c r="D36" s="9"/>
      <c r="E36" s="29">
        <v>1000000</v>
      </c>
      <c r="F36" s="29"/>
      <c r="G36" s="29"/>
      <c r="H36" s="24">
        <f t="shared" ref="H36:H41" si="0">SUM(E36:G36)/SUM($E$48:$G$48)</f>
        <v>0.37735849056603776</v>
      </c>
      <c r="N36" s="9">
        <f t="shared" ref="N36:O40" si="1">E36+K36</f>
        <v>1000000</v>
      </c>
      <c r="O36" s="9">
        <f t="shared" si="1"/>
        <v>0</v>
      </c>
      <c r="P36" s="9">
        <f t="shared" ref="P36:P40" si="2">G36</f>
        <v>0</v>
      </c>
      <c r="Q36" s="9"/>
      <c r="R36" s="27">
        <f t="shared" ref="R36:R41" ca="1" si="3">SUM(N36:Q36)/SUM($N$48:$Q$48)</f>
        <v>0.30926995678218966</v>
      </c>
      <c r="T36" s="3"/>
      <c r="U36" s="9"/>
      <c r="V36" s="9"/>
    </row>
    <row r="37" spans="2:22" x14ac:dyDescent="0.3">
      <c r="B37" s="28" t="s">
        <v>37</v>
      </c>
      <c r="D37" s="9"/>
      <c r="E37" s="29">
        <v>1000000</v>
      </c>
      <c r="F37" s="29"/>
      <c r="G37" s="29"/>
      <c r="H37" s="24">
        <f t="shared" si="0"/>
        <v>0.37735849056603776</v>
      </c>
      <c r="J37" s="9"/>
      <c r="L37" s="9"/>
      <c r="N37" s="9">
        <f t="shared" si="1"/>
        <v>1000000</v>
      </c>
      <c r="O37" s="9">
        <f t="shared" si="1"/>
        <v>0</v>
      </c>
      <c r="P37" s="9">
        <f t="shared" si="2"/>
        <v>0</v>
      </c>
      <c r="Q37" s="9"/>
      <c r="R37" s="27">
        <f t="shared" ca="1" si="3"/>
        <v>0.30926995678218966</v>
      </c>
      <c r="T37" s="3"/>
      <c r="U37" s="9"/>
      <c r="V37" s="9"/>
    </row>
    <row r="38" spans="2:22" x14ac:dyDescent="0.3">
      <c r="B38" s="28" t="s">
        <v>41</v>
      </c>
      <c r="D38" s="9"/>
      <c r="E38" s="30"/>
      <c r="F38" s="30">
        <v>200000</v>
      </c>
      <c r="G38" s="29"/>
      <c r="H38" s="24">
        <f t="shared" si="0"/>
        <v>7.5471698113207544E-2</v>
      </c>
      <c r="N38" s="9">
        <f t="shared" si="1"/>
        <v>0</v>
      </c>
      <c r="O38" s="9">
        <f t="shared" si="1"/>
        <v>200000</v>
      </c>
      <c r="P38" s="9">
        <f t="shared" si="2"/>
        <v>0</v>
      </c>
      <c r="Q38" s="9">
        <f ca="1">IF(C64&lt;0,0,C64)</f>
        <v>0</v>
      </c>
      <c r="R38" s="27">
        <f t="shared" ca="1" si="3"/>
        <v>6.1853991356437932E-2</v>
      </c>
      <c r="T38" s="3"/>
      <c r="U38" s="9"/>
      <c r="V38" s="9"/>
    </row>
    <row r="39" spans="2:22" ht="15" customHeight="1" x14ac:dyDescent="0.3">
      <c r="B39" s="28" t="s">
        <v>42</v>
      </c>
      <c r="D39" s="9"/>
      <c r="E39" s="30"/>
      <c r="F39" s="30">
        <v>200000</v>
      </c>
      <c r="G39" s="29"/>
      <c r="H39" s="24">
        <f t="shared" si="0"/>
        <v>7.5471698113207544E-2</v>
      </c>
      <c r="N39" s="9">
        <f t="shared" si="1"/>
        <v>0</v>
      </c>
      <c r="O39" s="9">
        <f t="shared" si="1"/>
        <v>200000</v>
      </c>
      <c r="P39" s="9">
        <f t="shared" si="2"/>
        <v>0</v>
      </c>
      <c r="Q39" s="9">
        <f ca="1">IF(C77&lt;0,0,C77)</f>
        <v>0</v>
      </c>
      <c r="R39" s="27">
        <f t="shared" ca="1" si="3"/>
        <v>6.1853991356437932E-2</v>
      </c>
      <c r="T39" s="3"/>
      <c r="U39" s="9"/>
      <c r="V39" s="9"/>
    </row>
    <row r="40" spans="2:22" x14ac:dyDescent="0.3">
      <c r="B40" s="28" t="s">
        <v>43</v>
      </c>
      <c r="D40" s="9"/>
      <c r="E40" s="30"/>
      <c r="F40" s="30">
        <v>200000</v>
      </c>
      <c r="G40" s="29"/>
      <c r="H40" s="24">
        <f t="shared" si="0"/>
        <v>7.5471698113207544E-2</v>
      </c>
      <c r="N40" s="9">
        <f t="shared" si="1"/>
        <v>0</v>
      </c>
      <c r="O40" s="9">
        <f t="shared" si="1"/>
        <v>200000</v>
      </c>
      <c r="P40" s="9">
        <f t="shared" si="2"/>
        <v>0</v>
      </c>
      <c r="Q40" s="9">
        <f ca="1">IF(C90&lt;0,0,C90)</f>
        <v>0</v>
      </c>
      <c r="R40" s="27">
        <f t="shared" ca="1" si="3"/>
        <v>6.1853991356437932E-2</v>
      </c>
      <c r="T40" s="3"/>
      <c r="U40" s="9"/>
      <c r="V40" s="9"/>
    </row>
    <row r="41" spans="2:22" x14ac:dyDescent="0.3">
      <c r="B41" s="28" t="s">
        <v>39</v>
      </c>
      <c r="D41" s="9"/>
      <c r="E41" s="30"/>
      <c r="F41" s="29"/>
      <c r="G41" s="29">
        <v>50000</v>
      </c>
      <c r="H41" s="24">
        <f t="shared" si="0"/>
        <v>1.8867924528301886E-2</v>
      </c>
      <c r="J41" s="9"/>
      <c r="L41" s="4"/>
      <c r="N41" s="9">
        <f t="shared" ref="N41:N44" si="4">E41+K41</f>
        <v>0</v>
      </c>
      <c r="O41" s="9">
        <f t="shared" ref="O41:O44" si="5">F41+L41</f>
        <v>0</v>
      </c>
      <c r="P41" s="9">
        <f t="shared" ref="P41:P44" si="6">G41</f>
        <v>50000</v>
      </c>
      <c r="Q41" s="9"/>
      <c r="R41" s="27">
        <f t="shared" ca="1" si="3"/>
        <v>1.5463497839109483E-2</v>
      </c>
      <c r="T41" s="3"/>
      <c r="U41" s="9"/>
      <c r="V41" s="9"/>
    </row>
    <row r="42" spans="2:22" x14ac:dyDescent="0.3">
      <c r="H42" s="24"/>
      <c r="N42" s="9"/>
      <c r="O42" s="9"/>
      <c r="P42" s="9"/>
      <c r="Q42" s="9"/>
      <c r="R42" s="27"/>
    </row>
    <row r="43" spans="2:22" x14ac:dyDescent="0.3">
      <c r="B43" s="28" t="s">
        <v>44</v>
      </c>
      <c r="E43" s="30"/>
      <c r="F43" s="29"/>
      <c r="G43" s="29"/>
      <c r="H43" s="24">
        <f>SUM(E43:G43)/SUM($E$48:$G$48)</f>
        <v>0</v>
      </c>
      <c r="J43" s="9">
        <f>C24</f>
        <v>1800000</v>
      </c>
      <c r="L43" s="9">
        <f ca="1">C28</f>
        <v>253050</v>
      </c>
      <c r="N43" s="9">
        <f t="shared" si="4"/>
        <v>0</v>
      </c>
      <c r="O43" s="9">
        <f t="shared" ca="1" si="5"/>
        <v>253050</v>
      </c>
      <c r="P43" s="9">
        <f t="shared" si="6"/>
        <v>0</v>
      </c>
      <c r="Q43" s="9"/>
      <c r="R43" s="27">
        <f ca="1">SUM(N43:Q43)/SUM($N$48:$Q$48)</f>
        <v>7.8260762563733099E-2</v>
      </c>
    </row>
    <row r="44" spans="2:22" x14ac:dyDescent="0.3">
      <c r="B44" s="28" t="s">
        <v>45</v>
      </c>
      <c r="E44" s="30"/>
      <c r="F44" s="29"/>
      <c r="G44" s="29"/>
      <c r="H44" s="24">
        <f>SUM(E44:G44)/SUM($E$48:$G$48)</f>
        <v>0</v>
      </c>
      <c r="J44" s="9">
        <f>C25</f>
        <v>1200000</v>
      </c>
      <c r="L44" s="9">
        <f ca="1">C29</f>
        <v>168700</v>
      </c>
      <c r="N44" s="9">
        <f t="shared" si="4"/>
        <v>0</v>
      </c>
      <c r="O44" s="9">
        <f t="shared" ca="1" si="5"/>
        <v>168700</v>
      </c>
      <c r="P44" s="9">
        <f t="shared" si="6"/>
        <v>0</v>
      </c>
      <c r="Q44" s="9"/>
      <c r="R44" s="27">
        <f ca="1">SUM(N44:Q44)/SUM($N$48:$Q$48)</f>
        <v>5.21738417091554E-2</v>
      </c>
    </row>
    <row r="45" spans="2:22" x14ac:dyDescent="0.3">
      <c r="H45" s="24"/>
      <c r="N45" s="9"/>
      <c r="O45" s="9"/>
      <c r="P45" s="9"/>
      <c r="Q45" s="9"/>
      <c r="R45" s="27"/>
      <c r="T45" s="3"/>
    </row>
    <row r="46" spans="2:22" x14ac:dyDescent="0.3">
      <c r="B46" s="28" t="s">
        <v>15</v>
      </c>
      <c r="E46" s="30">
        <v>0</v>
      </c>
      <c r="F46" s="29">
        <v>0</v>
      </c>
      <c r="G46" s="30">
        <v>0</v>
      </c>
      <c r="H46" s="24">
        <f>SUM(E46:G46)/SUM($E$48:$G$48)</f>
        <v>0</v>
      </c>
      <c r="J46" s="4"/>
      <c r="K46" s="4"/>
      <c r="L46" s="4"/>
      <c r="N46" s="9">
        <f>E46+K46</f>
        <v>0</v>
      </c>
      <c r="O46" s="9">
        <f>F46+L46</f>
        <v>0</v>
      </c>
      <c r="P46" s="9">
        <f ca="1">C18</f>
        <v>161671.0875331565</v>
      </c>
      <c r="Q46" s="9"/>
      <c r="R46" s="27">
        <f ca="1">SUM(N46:Q46)/SUM($N$48:$Q$48)</f>
        <v>5.0000010254308919E-2</v>
      </c>
      <c r="S46" s="18"/>
      <c r="T46" s="9"/>
      <c r="U46" s="9"/>
      <c r="V46" s="9"/>
    </row>
    <row r="47" spans="2:22" x14ac:dyDescent="0.3">
      <c r="E47" s="3"/>
      <c r="F47" s="4"/>
      <c r="G47" s="4"/>
      <c r="H47" s="3"/>
      <c r="J47" s="7"/>
      <c r="K47" s="7"/>
      <c r="R47" s="12"/>
    </row>
    <row r="48" spans="2:22" x14ac:dyDescent="0.3">
      <c r="E48" s="5">
        <f>SUM(E36:E46)</f>
        <v>2000000</v>
      </c>
      <c r="F48" s="5">
        <f>SUM(F36:F46)</f>
        <v>600000</v>
      </c>
      <c r="G48" s="5">
        <f>SUM(G36:G46)</f>
        <v>50000</v>
      </c>
      <c r="H48" s="13">
        <f>SUM(H36:H46)</f>
        <v>1</v>
      </c>
      <c r="J48" s="8">
        <f>SUM(J36:J46)</f>
        <v>3000000</v>
      </c>
      <c r="K48" s="5">
        <f>SUM(K36:K46)</f>
        <v>0</v>
      </c>
      <c r="L48" s="5">
        <f ca="1">SUM(L36:L46)</f>
        <v>421750</v>
      </c>
      <c r="N48" s="5">
        <f>SUM(N36:N46)</f>
        <v>2000000</v>
      </c>
      <c r="O48" s="5">
        <f ca="1">SUM(O36:O46)</f>
        <v>1021750</v>
      </c>
      <c r="P48" s="5">
        <f ca="1">SUM(P36:P46)</f>
        <v>211671.0875331565</v>
      </c>
      <c r="Q48" s="5">
        <f ca="1">SUM(Q36:Q46)</f>
        <v>0</v>
      </c>
      <c r="R48" s="13">
        <f ca="1">SUM(R36:R46)</f>
        <v>1</v>
      </c>
    </row>
    <row r="50" spans="1:18" x14ac:dyDescent="0.3">
      <c r="B50" s="19" t="s">
        <v>61</v>
      </c>
      <c r="C50" s="19"/>
      <c r="D50" s="19"/>
      <c r="E50" s="19"/>
      <c r="F50" s="19"/>
      <c r="G50" s="19"/>
      <c r="H50" s="19"/>
      <c r="I50" s="19"/>
      <c r="J50" s="19"/>
      <c r="K50" s="19"/>
      <c r="L50" s="19"/>
      <c r="M50" s="19"/>
      <c r="N50" s="19"/>
      <c r="O50" s="19"/>
      <c r="P50" s="19"/>
      <c r="Q50" s="19"/>
      <c r="R50" s="19"/>
    </row>
    <row r="52" spans="1:18" x14ac:dyDescent="0.3">
      <c r="I52" s="1"/>
    </row>
    <row r="53" spans="1:18" x14ac:dyDescent="0.3">
      <c r="B53" s="1" t="s">
        <v>50</v>
      </c>
      <c r="C53" s="1" t="s">
        <v>20</v>
      </c>
    </row>
    <row r="54" spans="1:18" x14ac:dyDescent="0.3">
      <c r="B54" s="33" t="s">
        <v>4</v>
      </c>
      <c r="C54" s="29">
        <v>1500000</v>
      </c>
      <c r="D54" s="14" t="s">
        <v>70</v>
      </c>
    </row>
    <row r="55" spans="1:18" x14ac:dyDescent="0.3">
      <c r="A55" t="s">
        <v>25</v>
      </c>
      <c r="B55" s="33" t="s">
        <v>19</v>
      </c>
      <c r="C55" s="32">
        <v>5.5</v>
      </c>
      <c r="D55" s="14" t="s">
        <v>71</v>
      </c>
    </row>
    <row r="56" spans="1:18" ht="28.8" x14ac:dyDescent="0.3">
      <c r="B56" s="33" t="s">
        <v>53</v>
      </c>
      <c r="C56" s="9">
        <f>C54/C55</f>
        <v>272727.27272727271</v>
      </c>
    </row>
    <row r="57" spans="1:18" x14ac:dyDescent="0.3">
      <c r="B57" s="33" t="s">
        <v>73</v>
      </c>
      <c r="C57" s="9">
        <f>C9</f>
        <v>3000000</v>
      </c>
    </row>
    <row r="58" spans="1:18" x14ac:dyDescent="0.3">
      <c r="A58" t="s">
        <v>24</v>
      </c>
      <c r="B58" s="33" t="s">
        <v>21</v>
      </c>
      <c r="C58" s="4">
        <f ca="1">SUM(N48:P48)-L48</f>
        <v>2811671.0875331564</v>
      </c>
    </row>
    <row r="59" spans="1:18" ht="43.2" x14ac:dyDescent="0.3">
      <c r="A59" t="s">
        <v>17</v>
      </c>
      <c r="B59" s="33" t="s">
        <v>74</v>
      </c>
      <c r="C59" s="4">
        <f>C57/C55</f>
        <v>545454.54545454541</v>
      </c>
    </row>
    <row r="60" spans="1:18" x14ac:dyDescent="0.3">
      <c r="A60" t="s">
        <v>23</v>
      </c>
      <c r="B60" s="33" t="s">
        <v>22</v>
      </c>
      <c r="C60" s="9">
        <f ca="1">C30</f>
        <v>421750</v>
      </c>
    </row>
    <row r="61" spans="1:18" x14ac:dyDescent="0.3">
      <c r="B61" s="33"/>
    </row>
    <row r="62" spans="1:18" x14ac:dyDescent="0.3">
      <c r="A62" t="s">
        <v>18</v>
      </c>
      <c r="B62" s="33" t="s">
        <v>26</v>
      </c>
      <c r="C62" s="15">
        <f ca="1">C55*((C58+C59)/(C58+C60))</f>
        <v>5.7104195468456815</v>
      </c>
    </row>
    <row r="63" spans="1:18" x14ac:dyDescent="0.3">
      <c r="B63" s="33" t="s">
        <v>27</v>
      </c>
      <c r="C63" s="4">
        <f ca="1">C54/C62</f>
        <v>262677.72231001296</v>
      </c>
    </row>
    <row r="64" spans="1:18" x14ac:dyDescent="0.3">
      <c r="B64" s="33" t="s">
        <v>28</v>
      </c>
      <c r="C64" s="38">
        <f ca="1">C63-C56</f>
        <v>-10049.550417259743</v>
      </c>
      <c r="D64" s="14" t="s">
        <v>75</v>
      </c>
    </row>
    <row r="65" spans="1:4" x14ac:dyDescent="0.3">
      <c r="B65" s="33"/>
    </row>
    <row r="66" spans="1:4" x14ac:dyDescent="0.3">
      <c r="B66" s="34" t="s">
        <v>51</v>
      </c>
      <c r="C66" s="1" t="s">
        <v>20</v>
      </c>
    </row>
    <row r="67" spans="1:4" x14ac:dyDescent="0.3">
      <c r="B67" s="33" t="s">
        <v>4</v>
      </c>
      <c r="C67" s="29">
        <v>750000</v>
      </c>
      <c r="D67" s="14" t="s">
        <v>70</v>
      </c>
    </row>
    <row r="68" spans="1:4" x14ac:dyDescent="0.3">
      <c r="A68" t="s">
        <v>25</v>
      </c>
      <c r="B68" s="33" t="s">
        <v>19</v>
      </c>
      <c r="C68" s="32">
        <v>5.5</v>
      </c>
      <c r="D68" s="14" t="s">
        <v>71</v>
      </c>
    </row>
    <row r="69" spans="1:4" ht="28.8" x14ac:dyDescent="0.3">
      <c r="B69" s="33" t="s">
        <v>53</v>
      </c>
      <c r="C69" s="21">
        <f>C67/C68</f>
        <v>136363.63636363635</v>
      </c>
    </row>
    <row r="70" spans="1:4" x14ac:dyDescent="0.3">
      <c r="B70" s="33" t="s">
        <v>73</v>
      </c>
      <c r="C70" s="9">
        <f>C9</f>
        <v>3000000</v>
      </c>
    </row>
    <row r="71" spans="1:4" x14ac:dyDescent="0.3">
      <c r="A71" t="s">
        <v>24</v>
      </c>
      <c r="B71" s="33" t="s">
        <v>21</v>
      </c>
      <c r="C71" s="4">
        <f ca="1">SUM(N48:P48)-L48</f>
        <v>2811671.0875331564</v>
      </c>
    </row>
    <row r="72" spans="1:4" ht="43.2" x14ac:dyDescent="0.3">
      <c r="A72" t="s">
        <v>17</v>
      </c>
      <c r="B72" s="33" t="s">
        <v>74</v>
      </c>
      <c r="C72" s="4">
        <f>C70/C68</f>
        <v>545454.54545454541</v>
      </c>
    </row>
    <row r="73" spans="1:4" x14ac:dyDescent="0.3">
      <c r="A73" t="s">
        <v>23</v>
      </c>
      <c r="B73" s="33" t="s">
        <v>22</v>
      </c>
      <c r="C73" s="9">
        <f ca="1">C30</f>
        <v>421750</v>
      </c>
    </row>
    <row r="74" spans="1:4" x14ac:dyDescent="0.3">
      <c r="B74" s="33"/>
    </row>
    <row r="75" spans="1:4" x14ac:dyDescent="0.3">
      <c r="A75" t="s">
        <v>18</v>
      </c>
      <c r="B75" s="33" t="s">
        <v>26</v>
      </c>
      <c r="C75" s="15">
        <f ca="1">C68*((C71+C72)/(C71+C73))</f>
        <v>5.7104195468456815</v>
      </c>
    </row>
    <row r="76" spans="1:4" x14ac:dyDescent="0.3">
      <c r="B76" s="33" t="s">
        <v>27</v>
      </c>
      <c r="C76" s="4">
        <f ca="1">C67/C75</f>
        <v>131338.86115500648</v>
      </c>
    </row>
    <row r="77" spans="1:4" x14ac:dyDescent="0.3">
      <c r="B77" s="33" t="s">
        <v>28</v>
      </c>
      <c r="C77" s="38">
        <f ca="1">C76-C69</f>
        <v>-5024.7752086298715</v>
      </c>
      <c r="D77" s="14" t="s">
        <v>75</v>
      </c>
    </row>
    <row r="78" spans="1:4" x14ac:dyDescent="0.3">
      <c r="B78" s="33"/>
    </row>
    <row r="79" spans="1:4" x14ac:dyDescent="0.3">
      <c r="B79" s="34" t="s">
        <v>52</v>
      </c>
      <c r="C79" s="1" t="s">
        <v>20</v>
      </c>
    </row>
    <row r="80" spans="1:4" x14ac:dyDescent="0.3">
      <c r="B80" s="33" t="s">
        <v>4</v>
      </c>
      <c r="C80" s="29">
        <v>350000</v>
      </c>
      <c r="D80" s="14" t="s">
        <v>70</v>
      </c>
    </row>
    <row r="81" spans="1:4" x14ac:dyDescent="0.3">
      <c r="A81" t="s">
        <v>25</v>
      </c>
      <c r="B81" s="33" t="s">
        <v>19</v>
      </c>
      <c r="C81" s="32">
        <v>5.5</v>
      </c>
      <c r="D81" s="14" t="s">
        <v>71</v>
      </c>
    </row>
    <row r="82" spans="1:4" ht="28.8" x14ac:dyDescent="0.3">
      <c r="B82" s="33" t="s">
        <v>53</v>
      </c>
      <c r="C82" s="21">
        <f>C80/C81</f>
        <v>63636.36363636364</v>
      </c>
    </row>
    <row r="83" spans="1:4" x14ac:dyDescent="0.3">
      <c r="B83" s="33" t="s">
        <v>73</v>
      </c>
      <c r="C83" s="9">
        <f>C9</f>
        <v>3000000</v>
      </c>
    </row>
    <row r="84" spans="1:4" x14ac:dyDescent="0.3">
      <c r="A84" t="s">
        <v>24</v>
      </c>
      <c r="B84" s="33" t="s">
        <v>21</v>
      </c>
      <c r="C84" s="4">
        <f ca="1">SUM(N48:P48)-L48</f>
        <v>2811671.0875331564</v>
      </c>
    </row>
    <row r="85" spans="1:4" ht="43.2" x14ac:dyDescent="0.3">
      <c r="A85" t="s">
        <v>17</v>
      </c>
      <c r="B85" s="33" t="s">
        <v>74</v>
      </c>
      <c r="C85" s="4">
        <f>C83/C81</f>
        <v>545454.54545454541</v>
      </c>
    </row>
    <row r="86" spans="1:4" x14ac:dyDescent="0.3">
      <c r="A86" t="s">
        <v>23</v>
      </c>
      <c r="B86" s="33" t="s">
        <v>22</v>
      </c>
      <c r="C86" s="9">
        <f ca="1">C30</f>
        <v>421750</v>
      </c>
    </row>
    <row r="87" spans="1:4" x14ac:dyDescent="0.3">
      <c r="B87" s="33"/>
    </row>
    <row r="88" spans="1:4" x14ac:dyDescent="0.3">
      <c r="A88" t="s">
        <v>18</v>
      </c>
      <c r="B88" s="33" t="s">
        <v>26</v>
      </c>
      <c r="C88" s="15">
        <f ca="1">C81*((C84+C85)/(C84+C86))</f>
        <v>5.7104195468456815</v>
      </c>
    </row>
    <row r="89" spans="1:4" x14ac:dyDescent="0.3">
      <c r="B89" s="33" t="s">
        <v>27</v>
      </c>
      <c r="C89" s="4">
        <f ca="1">C80/C88</f>
        <v>61291.468539003028</v>
      </c>
    </row>
    <row r="90" spans="1:4" x14ac:dyDescent="0.3">
      <c r="B90" s="33" t="s">
        <v>28</v>
      </c>
      <c r="C90" s="38">
        <f ca="1">C89-C82</f>
        <v>-2344.8950973606115</v>
      </c>
      <c r="D90" s="14" t="s">
        <v>75</v>
      </c>
    </row>
  </sheetData>
  <mergeCells count="3">
    <mergeCell ref="E32:H32"/>
    <mergeCell ref="J32:L32"/>
    <mergeCell ref="N32:R32"/>
  </mergeCells>
  <pageMargins left="0.70866141732283472" right="0.70866141732283472" top="0.74803149606299213" bottom="0.74803149606299213" header="0.31496062992125984" footer="0.31496062992125984"/>
  <pageSetup scale="47" orientation="landscape" horizontalDpi="360" verticalDpi="36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Cap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dc:creator>
  <cp:lastModifiedBy>Daniel Szekely</cp:lastModifiedBy>
  <cp:lastPrinted>2018-08-09T06:09:38Z</cp:lastPrinted>
  <dcterms:created xsi:type="dcterms:W3CDTF">2017-03-15T02:42:25Z</dcterms:created>
  <dcterms:modified xsi:type="dcterms:W3CDTF">2022-12-12T07:59:59Z</dcterms:modified>
</cp:coreProperties>
</file>